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ASY BOY\OneDrive\Documents\"/>
    </mc:Choice>
  </mc:AlternateContent>
  <xr:revisionPtr revIDLastSave="0" documentId="8_{AC064B34-959F-4E3D-BE7B-C282962294A0}" xr6:coauthVersionLast="47" xr6:coauthVersionMax="47" xr10:uidLastSave="{00000000-0000-0000-0000-000000000000}"/>
  <bookViews>
    <workbookView xWindow="-120" yWindow="-120" windowWidth="20730" windowHeight="11040" activeTab="1" xr2:uid="{D2934D06-1EF7-4948-9CCC-283DDD984C67}"/>
  </bookViews>
  <sheets>
    <sheet name="tabulasi bulanan" sheetId="1" r:id="rId1"/>
    <sheet name="tabulasi grafik tahunan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  <c r="D6" i="2"/>
  <c r="C5" i="2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G36" i="1"/>
  <c r="F36" i="1"/>
  <c r="E36" i="1"/>
  <c r="G35" i="1"/>
  <c r="F35" i="1"/>
  <c r="E35" i="1"/>
  <c r="D35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G21" i="1"/>
  <c r="F21" i="1"/>
  <c r="E21" i="1"/>
  <c r="G20" i="1"/>
  <c r="F20" i="1"/>
  <c r="E20" i="1"/>
  <c r="D20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G6" i="1"/>
  <c r="F6" i="1"/>
  <c r="E6" i="1"/>
  <c r="G5" i="1"/>
  <c r="F5" i="1"/>
  <c r="E5" i="1"/>
  <c r="D5" i="1"/>
</calcChain>
</file>

<file path=xl/sharedStrings.xml><?xml version="1.0" encoding="utf-8"?>
<sst xmlns="http://schemas.openxmlformats.org/spreadsheetml/2006/main" count="48" uniqueCount="19">
  <si>
    <t>aset produktif</t>
  </si>
  <si>
    <t>Bulan</t>
  </si>
  <si>
    <t>Tahun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</si>
  <si>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</si>
  <si>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</si>
  <si>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</si>
  <si>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</si>
  <si>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</si>
  <si>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</si>
  <si>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</si>
  <si>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</si>
  <si>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</si>
  <si>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</si>
  <si>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</si>
  <si>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</si>
  <si>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aet non produktif</t>
  </si>
  <si>
    <t>Profitabilitas</t>
  </si>
  <si>
    <t>aset non produktif</t>
  </si>
  <si>
    <t>profitabilitas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</si>
</sst>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Diagram</a:t>
            </a:r>
            <a:r>
              <a:rPr lang="en-US" baseline="0"/>
              <a:t> Aset Produktif, Non Produktif dan Profitabilitas</a:t>
            </a:r>
            <a:endParaRPr lang="en-US"/>
          </a:p>
        </c:rich>
      </c:tx>
      <c:layout>
        <c:manualLayout>
          <c:xMode val="edge"/>
          <c:yMode val="edge"/>
          <c:x val="0.11680421455397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Aset Produktif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[1]Sheet1!$M$15:$U$15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[1]Sheet1!$M$16:$U$16</c:f>
              <c:numCache>
                <c:formatCode>General</c:formatCode>
                <c:ptCount val="9"/>
                <c:pt idx="0">
                  <c:v>4724077</c:v>
                </c:pt>
                <c:pt idx="1">
                  <c:v>5381832</c:v>
                </c:pt>
                <c:pt idx="2">
                  <c:v>6454387</c:v>
                </c:pt>
                <c:pt idx="3">
                  <c:v>6542558</c:v>
                </c:pt>
                <c:pt idx="4">
                  <c:v>5086631</c:v>
                </c:pt>
                <c:pt idx="5">
                  <c:v>4522777</c:v>
                </c:pt>
                <c:pt idx="6">
                  <c:v>3464766</c:v>
                </c:pt>
                <c:pt idx="7">
                  <c:v>5031362</c:v>
                </c:pt>
                <c:pt idx="8">
                  <c:v>5805817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9-4D9C-86A0-26F78E98BFB2}"/>
            </c:ext>
          </c:extLst>
        </c:ser>
        <c:ser>
          <c:idx val="1"/>
          <c:order val="1"/>
          <c:tx>
            <c:v>Aset Non Produktif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[1]Sheet1!$M$15:$U$15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[1]Sheet1!$M$17:$U$17</c:f>
              <c:numCache>
                <c:formatCode>General</c:formatCode>
                <c:ptCount val="9"/>
                <c:pt idx="0">
                  <c:v>284495</c:v>
                </c:pt>
                <c:pt idx="1">
                  <c:v>522996</c:v>
                </c:pt>
                <c:pt idx="2">
                  <c:v>565213</c:v>
                </c:pt>
                <c:pt idx="3">
                  <c:v>2508993</c:v>
                </c:pt>
                <c:pt idx="4">
                  <c:v>3864608</c:v>
                </c:pt>
                <c:pt idx="5">
                  <c:v>2998092</c:v>
                </c:pt>
                <c:pt idx="6">
                  <c:v>3093493</c:v>
                </c:pt>
                <c:pt idx="7">
                  <c:v>3131537</c:v>
                </c:pt>
                <c:pt idx="8">
                  <c:v>2858081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E9-4D9C-86A0-26F78E98BFB2}"/>
            </c:ext>
          </c:extLst>
        </c:ser>
        <c:ser>
          <c:idx val="2"/>
          <c:order val="2"/>
          <c:tx>
            <c:v>Profitabilitas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[1]Sheet1!$M$15:$U$15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[1]Sheet1!$M$18:$U$18</c:f>
              <c:numCache>
                <c:formatCode>General</c:formatCode>
                <c:ptCount val="9"/>
                <c:pt idx="0">
                  <c:v>4605961</c:v>
                </c:pt>
                <c:pt idx="1">
                  <c:v>501478</c:v>
                </c:pt>
                <c:pt idx="2">
                  <c:v>572947</c:v>
                </c:pt>
                <c:pt idx="3">
                  <c:v>2670080</c:v>
                </c:pt>
                <c:pt idx="4">
                  <c:v>2240790</c:v>
                </c:pt>
                <c:pt idx="5">
                  <c:v>2014539</c:v>
                </c:pt>
                <c:pt idx="6">
                  <c:v>552056</c:v>
                </c:pt>
                <c:pt idx="7">
                  <c:v>829517</c:v>
                </c:pt>
                <c:pt idx="8">
                  <c:v>1049503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E9-4D9C-86A0-26F78E98B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1336528"/>
        <c:axId val="1841343184"/>
      </c:barChart>
      <c:catAx>
        <c:axId val="184133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343184"/>
        <c:crosses val="autoZero"/>
        <c:auto val="1"/>
        <c:lblAlgn val="ctr"/>
        <c:lblOffset val="100"/>
        <c:noMultiLvlLbl val="0"/>
      </c:catAx>
      <c:valAx>
        <c:axId val="184134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33652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1181100</xdr:colOff>
      <xdr:row>6</xdr:row>
      <xdr:rowOff>133350</xdr:rowOff>
    </xdr:from>
    <xdr:to>
      <xdr:col>10</xdr:col>
      <xdr:colOff>400050</xdr:colOff>
      <xdr:row>21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A6B7D2-6BE7-4B19-8811-8484D6688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cel%20propos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15">
          <cell r="M15">
            <v>2014</v>
          </cell>
          <cell r="N15">
            <v>2015</v>
          </cell>
          <cell r="O15">
            <v>2016</v>
          </cell>
          <cell r="P15">
            <v>2017</v>
          </cell>
          <cell r="Q15">
            <v>2018</v>
          </cell>
          <cell r="R15">
            <v>2019</v>
          </cell>
          <cell r="S15">
            <v>2020</v>
          </cell>
          <cell r="T15">
            <v>2021</v>
          </cell>
          <cell r="U15">
            <v>2022</v>
          </cell>
        </row>
        <row r="16">
          <cell r="M16">
            <v>4724077</v>
          </cell>
          <cell r="N16">
            <v>5381832</v>
          </cell>
          <cell r="O16">
            <v>6454387</v>
          </cell>
          <cell r="P16">
            <v>6542558</v>
          </cell>
          <cell r="Q16">
            <v>5086631</v>
          </cell>
          <cell r="R16">
            <v>4522777</v>
          </cell>
          <cell r="S16">
            <v>3464766</v>
          </cell>
          <cell r="T16">
            <v>5031362</v>
          </cell>
          <cell r="U16">
            <v>5805817</v>
          </cell>
        </row>
        <row r="17">
          <cell r="M17">
            <v>284495</v>
          </cell>
          <cell r="N17">
            <v>522996</v>
          </cell>
          <cell r="O17">
            <v>565213</v>
          </cell>
          <cell r="P17">
            <v>2508993</v>
          </cell>
          <cell r="Q17">
            <v>3864608</v>
          </cell>
          <cell r="R17">
            <v>2998092</v>
          </cell>
          <cell r="S17">
            <v>3093493</v>
          </cell>
          <cell r="T17">
            <v>3131537</v>
          </cell>
          <cell r="U17">
            <v>2858081</v>
          </cell>
        </row>
        <row r="18">
          <cell r="M18">
            <v>4605961</v>
          </cell>
          <cell r="N18">
            <v>501478</v>
          </cell>
          <cell r="O18">
            <v>572947</v>
          </cell>
          <cell r="P18">
            <v>2670080</v>
          </cell>
          <cell r="Q18">
            <v>2240790</v>
          </cell>
          <cell r="R18">
            <v>2014539</v>
          </cell>
          <cell r="S18">
            <v>552056</v>
          </cell>
          <cell r="T18">
            <v>829517</v>
          </cell>
          <cell r="U18">
            <v>1049503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78B9B-8663-4F4A-BA9E-221D8D97D122}">
  <dimension ref="B3:L46"/>
  <sheetViews>
    <sheetView workbookViewId="0">
      <selection activeCell="C33" sqref="C33:L46"/>
    </sheetView>
  </sheetViews>
  <sheetFormatPr defaultRowHeight="15" x14ac:dyDescent="0.25"/>
  <cols>
    <col min="2" max="2" width="18.7109375" customWidth="1"/>
    <col min="3" max="3" width="11.5703125" customWidth="1"/>
  </cols>
  <sheetData>
    <row r="3" spans="2:12" x14ac:dyDescent="0.25">
      <c r="B3" t="s">
        <v>0</v>
      </c>
      <c r="C3" s="1" t="s">
        <v>1</v>
      </c>
      <c r="D3" s="2" t="s">
        <v>2</v>
      </c>
      <c r="E3" s="2"/>
      <c r="F3" s="2"/>
      <c r="G3" s="2"/>
      <c r="H3" s="2"/>
      <c r="I3" s="2"/>
      <c r="J3" s="2"/>
      <c r="K3" s="2"/>
      <c r="L3" s="2"/>
    </row>
    <row r="4" spans="2:12" x14ac:dyDescent="0.25">
      <c r="C4" s="2"/>
      <c r="D4">
        <v>2014</v>
      </c>
      <c r="E4">
        <v>2015</v>
      </c>
      <c r="F4">
        <v>2016</v>
      </c>
      <c r="G4">
        <v>2017</v>
      </c>
      <c r="H4">
        <v>2018</v>
      </c>
      <c r="I4">
        <v>2019</v>
      </c>
      <c r="J4">
        <v>2020</v>
      </c>
      <c r="K4">
        <v>2021</v>
      </c>
      <c r="L4">
        <v>2022</v>
      </c>
    </row>
    <row r="5" spans="2:12" x14ac:dyDescent="0.25">
      <c r="C5" s="3" t="s">
        <v>3</v>
      </c>
      <c r="D5" s="4">
        <f>322579+374415+124690+1117659</f>
        <v>1939343</v>
      </c>
      <c r="E5" s="4">
        <f>592919+278312+124316+1475104</f>
        <v>2470651</v>
      </c>
      <c r="F5" s="4">
        <f>584778+242815+124418+2171910+70</f>
        <v>3123991</v>
      </c>
      <c r="G5" s="4">
        <f>1016750+247812+114520+2564574+63</f>
        <v>3943719</v>
      </c>
      <c r="H5" s="4">
        <v>4772574</v>
      </c>
      <c r="I5" s="4">
        <v>3952495</v>
      </c>
      <c r="J5" s="4">
        <v>5213680</v>
      </c>
      <c r="K5" s="4">
        <v>3596169</v>
      </c>
      <c r="L5" s="4">
        <v>5212014</v>
      </c>
    </row>
    <row r="6" spans="2:12" x14ac:dyDescent="0.25">
      <c r="C6" s="4" t="s">
        <v>4</v>
      </c>
      <c r="D6" s="4">
        <v>1987236</v>
      </c>
      <c r="E6" s="4">
        <f>538529+276805+124325+1558740</f>
        <v>2498399</v>
      </c>
      <c r="F6" s="4">
        <f>782696+289449+124427+90488+2196368+70</f>
        <v>3483498</v>
      </c>
      <c r="G6" s="4">
        <f>846626+261108+114529+45349+2617762+62</f>
        <v>3885436</v>
      </c>
      <c r="H6" s="4">
        <v>4466823</v>
      </c>
      <c r="I6" s="4">
        <v>3929922</v>
      </c>
      <c r="J6" s="4">
        <v>5091290</v>
      </c>
      <c r="K6" s="4">
        <v>3752328</v>
      </c>
      <c r="L6" s="4">
        <v>5109185</v>
      </c>
    </row>
    <row r="7" spans="2:12" x14ac:dyDescent="0.25">
      <c r="C7" s="4" t="s">
        <v>5</v>
      </c>
      <c r="D7" s="4">
        <v>2098444</v>
      </c>
      <c r="E7" s="4">
        <f>711297+241315+124333+1600976+76</f>
        <v>2677997</v>
      </c>
      <c r="F7" s="4">
        <f>912950+266925+114435+2308259+69</f>
        <v>3602638</v>
      </c>
      <c r="G7" s="4">
        <f>787669+258230+114537+2721729+62</f>
        <v>3882227</v>
      </c>
      <c r="H7" s="4">
        <v>4565356</v>
      </c>
      <c r="I7" s="4">
        <v>4094968</v>
      </c>
      <c r="J7" s="4">
        <v>4253890</v>
      </c>
      <c r="K7" s="4">
        <v>3815739</v>
      </c>
      <c r="L7" s="4">
        <v>5371069</v>
      </c>
    </row>
    <row r="8" spans="2:12" x14ac:dyDescent="0.25">
      <c r="C8" s="4" t="s">
        <v>6</v>
      </c>
      <c r="D8" s="4">
        <f>412357+372536+124690+1203646</f>
        <v>2113229</v>
      </c>
      <c r="E8" s="4">
        <f>553298+245516+124342+1651056+75</f>
        <v>2574287</v>
      </c>
      <c r="F8" s="4">
        <f>611167+253421+114444+149814+2319714+69</f>
        <v>3448629</v>
      </c>
      <c r="G8" s="4">
        <f>823945+262274+114546+2740794+61</f>
        <v>3941620</v>
      </c>
      <c r="H8" s="4">
        <v>4523825</v>
      </c>
      <c r="I8" s="4">
        <v>3879977</v>
      </c>
      <c r="J8" s="4">
        <v>4163247</v>
      </c>
      <c r="K8" s="4">
        <v>3689474</v>
      </c>
      <c r="L8" s="4">
        <v>5251670</v>
      </c>
    </row>
    <row r="9" spans="2:12" x14ac:dyDescent="0.25">
      <c r="C9" s="4" t="s">
        <v>7</v>
      </c>
      <c r="D9" s="4">
        <f>341931+372325+124690+1257993</f>
        <v>2096939</v>
      </c>
      <c r="E9" s="4">
        <f>546358+242025+124350+1685599+75</f>
        <v>2598407</v>
      </c>
      <c r="F9" s="4">
        <f>832084+256742+114452+45704+2378180+68</f>
        <v>3627230</v>
      </c>
      <c r="G9" s="4">
        <f>796287+255348+114554+92644+2798841+60</f>
        <v>4057734</v>
      </c>
      <c r="H9" s="4">
        <v>4324514</v>
      </c>
      <c r="I9" s="4">
        <v>3912803</v>
      </c>
      <c r="J9" s="4">
        <v>3873452</v>
      </c>
      <c r="K9" s="4">
        <v>3712205</v>
      </c>
      <c r="L9" s="4">
        <v>5491266</v>
      </c>
    </row>
    <row r="10" spans="2:12" x14ac:dyDescent="0.25">
      <c r="C10" s="4" t="s">
        <v>8</v>
      </c>
      <c r="D10" s="4">
        <f>403047+369529+124690+1284553</f>
        <v>2181819</v>
      </c>
      <c r="E10" s="4">
        <f>713145+240122+124359+1692430+74</f>
        <v>2770130</v>
      </c>
      <c r="F10" s="4">
        <f>1055313+260110+114461+2470227+67</f>
        <v>3900178</v>
      </c>
      <c r="G10" s="4">
        <f>1198635+275803+114563+2934437+60</f>
        <v>4523498</v>
      </c>
      <c r="H10" s="4">
        <v>4151377</v>
      </c>
      <c r="I10" s="4">
        <v>3971264</v>
      </c>
      <c r="J10" s="4">
        <v>3764445</v>
      </c>
      <c r="K10" s="4">
        <v>3816321</v>
      </c>
      <c r="L10" s="4">
        <v>5974274</v>
      </c>
    </row>
    <row r="11" spans="2:12" x14ac:dyDescent="0.25">
      <c r="C11" s="4" t="s">
        <v>9</v>
      </c>
      <c r="D11" s="4">
        <f>415947+381464+124699+1304653</f>
        <v>2226763</v>
      </c>
      <c r="E11" s="4">
        <f>616005+251212+124367+1711508+74</f>
        <v>2703166</v>
      </c>
      <c r="F11" s="4">
        <f>848530+268537+114469+2433621+67</f>
        <v>3665224</v>
      </c>
      <c r="G11" s="4">
        <f>989674+267738+104572+2874259+59</f>
        <v>4236302</v>
      </c>
      <c r="H11" s="4">
        <v>4227499</v>
      </c>
      <c r="I11" s="4">
        <v>3813329</v>
      </c>
      <c r="J11" s="4">
        <v>3613238</v>
      </c>
      <c r="K11" s="4">
        <v>3970458</v>
      </c>
      <c r="L11" s="4">
        <v>6257535</v>
      </c>
    </row>
    <row r="12" spans="2:12" x14ac:dyDescent="0.25">
      <c r="C12" s="4" t="s">
        <v>10</v>
      </c>
      <c r="D12" s="4">
        <f>644959+282561+124562+1361346</f>
        <v>2413428</v>
      </c>
      <c r="E12" s="4">
        <f>551562+244633+124376+1693547+73</f>
        <v>2614191</v>
      </c>
      <c r="F12" s="4">
        <f>977049+262607+114478+2532066+66</f>
        <v>3886266</v>
      </c>
      <c r="G12" s="4">
        <f>871205+270051+104580+2930430+58</f>
        <v>4176324</v>
      </c>
      <c r="H12" s="4">
        <v>4074494</v>
      </c>
      <c r="I12" s="4">
        <v>3952306</v>
      </c>
      <c r="J12" s="4">
        <v>3565132</v>
      </c>
      <c r="K12" s="4">
        <v>4397078</v>
      </c>
      <c r="L12" s="4">
        <v>6061231</v>
      </c>
    </row>
    <row r="13" spans="2:12" x14ac:dyDescent="0.25">
      <c r="C13" s="4" t="s">
        <v>11</v>
      </c>
      <c r="D13" s="4">
        <f>542612+275882+124425+1443893</f>
        <v>2386812</v>
      </c>
      <c r="E13" s="4">
        <f>658978+2499005+124384+1794732+72</f>
        <v>5077171</v>
      </c>
      <c r="F13" s="4">
        <f>128937+258711+114486+2504106+65</f>
        <v>3006305</v>
      </c>
      <c r="G13" s="4">
        <f>1829098+267070+104588+2790251+57</f>
        <v>4991064</v>
      </c>
      <c r="H13" s="4">
        <v>4118986</v>
      </c>
      <c r="I13" s="4">
        <v>3956582</v>
      </c>
      <c r="J13" s="4">
        <v>3526640</v>
      </c>
      <c r="K13" s="4">
        <v>4256981</v>
      </c>
      <c r="L13" s="4">
        <v>6153346</v>
      </c>
    </row>
    <row r="14" spans="2:12" x14ac:dyDescent="0.25">
      <c r="C14" s="4" t="s">
        <v>12</v>
      </c>
      <c r="D14" s="4">
        <f>737109+272817+124383+1460964</f>
        <v>2595273</v>
      </c>
      <c r="E14" s="4">
        <f>559224+244227+124384+1833546+72</f>
        <v>2761453</v>
      </c>
      <c r="F14" s="4">
        <f>731895+259990+114495+2496308+65</f>
        <v>3602753</v>
      </c>
      <c r="G14" s="4">
        <f>1397940+260079+104597+110483+2797738+56</f>
        <v>4670893</v>
      </c>
      <c r="H14" s="4">
        <v>4048763</v>
      </c>
      <c r="I14" s="4">
        <v>4083000</v>
      </c>
      <c r="J14" s="4">
        <v>3517445</v>
      </c>
      <c r="K14" s="4">
        <v>4484236</v>
      </c>
      <c r="L14" s="4">
        <v>5975196</v>
      </c>
    </row>
    <row r="15" spans="2:12" x14ac:dyDescent="0.25">
      <c r="C15" s="4" t="s">
        <v>13</v>
      </c>
      <c r="D15" s="4">
        <f>502167+276083+124342+1457263</f>
        <v>2359855</v>
      </c>
      <c r="E15" s="4">
        <f>525608+242987+124401+1989632+71</f>
        <v>2882699</v>
      </c>
      <c r="F15" s="4">
        <f>751745+251057+114503+2522380+64</f>
        <v>3639749</v>
      </c>
      <c r="G15" s="4">
        <f>1223544+258886+104605+2860662+56</f>
        <v>4447753</v>
      </c>
      <c r="H15" s="4">
        <v>4069774</v>
      </c>
      <c r="I15" s="4">
        <v>4191107</v>
      </c>
      <c r="J15" s="4">
        <v>3563728</v>
      </c>
      <c r="K15" s="4">
        <v>4790394</v>
      </c>
      <c r="L15" s="4">
        <v>5376880</v>
      </c>
    </row>
    <row r="16" spans="2:12" x14ac:dyDescent="0.25">
      <c r="C16" s="3" t="s">
        <v>14</v>
      </c>
      <c r="D16" s="3">
        <f>778337+285130+124350+1461972</f>
        <v>2649789</v>
      </c>
      <c r="E16" s="3">
        <f>893612+244803+124410+2100583+71</f>
        <v>3363479</v>
      </c>
      <c r="F16" s="3">
        <f>1522595+258771+114511+2527173+63</f>
        <v>4423113</v>
      </c>
      <c r="G16" s="3">
        <f>1338768+730474+104614+96969+2753373+55</f>
        <v>5024253</v>
      </c>
      <c r="H16" s="3">
        <v>4121130</v>
      </c>
      <c r="I16" s="3">
        <v>4534887</v>
      </c>
      <c r="J16" s="3">
        <v>3752389</v>
      </c>
      <c r="K16" s="3">
        <v>5103110</v>
      </c>
      <c r="L16" s="3">
        <v>5867584</v>
      </c>
    </row>
    <row r="18" spans="2:12" x14ac:dyDescent="0.25">
      <c r="B18" t="s">
        <v>15</v>
      </c>
      <c r="C18" s="1" t="s">
        <v>1</v>
      </c>
      <c r="D18" s="1" t="s">
        <v>2</v>
      </c>
      <c r="E18" s="1"/>
      <c r="F18" s="1"/>
      <c r="G18" s="1"/>
      <c r="H18" s="1"/>
      <c r="I18" s="1"/>
      <c r="J18" s="1"/>
      <c r="K18" s="1"/>
      <c r="L18" s="1"/>
    </row>
    <row r="19" spans="2:12" x14ac:dyDescent="0.25">
      <c r="C19" s="1"/>
      <c r="D19" s="5">
        <v>2014</v>
      </c>
      <c r="E19" s="5">
        <v>2015</v>
      </c>
      <c r="F19" s="5">
        <v>2016</v>
      </c>
      <c r="G19" s="5">
        <v>2017</v>
      </c>
      <c r="H19" s="5">
        <v>2018</v>
      </c>
      <c r="I19" s="5">
        <v>2019</v>
      </c>
      <c r="J19" s="5">
        <v>2020</v>
      </c>
      <c r="K19" s="5">
        <v>2021</v>
      </c>
      <c r="L19" s="5">
        <v>2022</v>
      </c>
    </row>
    <row r="20" spans="2:12" x14ac:dyDescent="0.25">
      <c r="C20" s="4" t="s">
        <v>3</v>
      </c>
      <c r="D20" s="5">
        <f>37625+23673+118989+34532</f>
        <v>214819</v>
      </c>
      <c r="E20" s="5">
        <f>23309+122244+39344+44184</f>
        <v>229081</v>
      </c>
      <c r="F20" s="5">
        <f>44951+109646+23172+124085</f>
        <v>301854</v>
      </c>
      <c r="G20" s="5">
        <f>48578+19827+138288+157178</f>
        <v>363871</v>
      </c>
      <c r="H20" s="5">
        <v>533110</v>
      </c>
      <c r="I20" s="5">
        <v>585338</v>
      </c>
      <c r="J20" s="5">
        <v>491798</v>
      </c>
      <c r="K20" s="5">
        <v>632616</v>
      </c>
      <c r="L20" s="5">
        <v>652028</v>
      </c>
    </row>
    <row r="21" spans="2:12" x14ac:dyDescent="0.25">
      <c r="C21" s="4" t="s">
        <v>4</v>
      </c>
      <c r="D21" s="5">
        <v>209134</v>
      </c>
      <c r="E21" s="5">
        <f>40791+23309+122274+36814</f>
        <v>223188</v>
      </c>
      <c r="F21" s="5">
        <f>48180+109018+23172+141323</f>
        <v>321693</v>
      </c>
      <c r="G21" s="5">
        <f>137656+19827+168121+56378</f>
        <v>381982</v>
      </c>
      <c r="H21" s="5">
        <v>533781</v>
      </c>
      <c r="I21" s="5">
        <v>578467</v>
      </c>
      <c r="J21" s="5">
        <v>480019</v>
      </c>
      <c r="K21" s="5">
        <v>634331</v>
      </c>
      <c r="L21" s="5">
        <v>652827</v>
      </c>
    </row>
    <row r="22" spans="2:12" x14ac:dyDescent="0.25">
      <c r="C22" s="4" t="s">
        <v>5</v>
      </c>
      <c r="D22" s="4">
        <v>206613</v>
      </c>
      <c r="E22" s="4">
        <f>40298+78732+23172+143105</f>
        <v>285307</v>
      </c>
      <c r="F22" s="4">
        <f>42354+109555+19827+133086</f>
        <v>304822</v>
      </c>
      <c r="G22" s="4">
        <f>44909+139385+17567+156598</f>
        <v>358459</v>
      </c>
      <c r="H22" s="4">
        <v>515536</v>
      </c>
      <c r="I22" s="4">
        <v>581409</v>
      </c>
      <c r="J22" s="4">
        <v>486979</v>
      </c>
      <c r="K22" s="4">
        <v>638594</v>
      </c>
      <c r="L22" s="4">
        <v>665517</v>
      </c>
    </row>
    <row r="23" spans="2:12" x14ac:dyDescent="0.25">
      <c r="C23" s="4" t="s">
        <v>6</v>
      </c>
      <c r="D23" s="5">
        <f>23309+117146+30334+40456</f>
        <v>211245</v>
      </c>
      <c r="E23" s="5">
        <f>36617+78040+23172+147959</f>
        <v>285788</v>
      </c>
      <c r="F23" s="5">
        <f>35385+109132+19827+139539</f>
        <v>303883</v>
      </c>
      <c r="G23" s="5">
        <f>42934+140612+17567+154627</f>
        <v>355740</v>
      </c>
      <c r="H23" s="5">
        <v>506318</v>
      </c>
      <c r="I23" s="5">
        <v>686757</v>
      </c>
      <c r="J23" s="5">
        <v>502160</v>
      </c>
      <c r="K23" s="5">
        <v>657323</v>
      </c>
      <c r="L23" s="5">
        <v>659847</v>
      </c>
    </row>
    <row r="24" spans="2:12" x14ac:dyDescent="0.25">
      <c r="C24" s="4" t="s">
        <v>7</v>
      </c>
      <c r="D24" s="5">
        <f>23309+117756+30202+37423</f>
        <v>208690</v>
      </c>
      <c r="E24" s="5">
        <f>41781+77309+23172+152777</f>
        <v>295039</v>
      </c>
      <c r="F24" s="5">
        <f>40437+108847+19827+143540</f>
        <v>312651</v>
      </c>
      <c r="G24" s="5">
        <f>69912+200096+59591+17567+160048</f>
        <v>507214</v>
      </c>
      <c r="H24" s="5">
        <v>527600</v>
      </c>
      <c r="I24" s="5">
        <v>698080</v>
      </c>
      <c r="J24" s="5">
        <v>501196</v>
      </c>
      <c r="K24" s="5">
        <v>656396</v>
      </c>
      <c r="L24" s="5">
        <v>664866</v>
      </c>
    </row>
    <row r="25" spans="2:12" x14ac:dyDescent="0.25">
      <c r="C25" s="4" t="s">
        <v>8</v>
      </c>
      <c r="D25" s="5">
        <f>50083+23309+117942+36145</f>
        <v>227479</v>
      </c>
      <c r="E25" s="5">
        <f>72713+76820+23172+144901</f>
        <v>317606</v>
      </c>
      <c r="F25" s="5">
        <f>60236+109688+19827+137978</f>
        <v>327729</v>
      </c>
      <c r="G25" s="5">
        <f>71893+202011+17567+162757</f>
        <v>454228</v>
      </c>
      <c r="H25" s="5">
        <v>526297</v>
      </c>
      <c r="I25" s="5">
        <v>601914</v>
      </c>
      <c r="J25" s="5">
        <v>475907</v>
      </c>
      <c r="K25" s="5">
        <v>653363</v>
      </c>
      <c r="L25" s="5">
        <v>661636</v>
      </c>
    </row>
    <row r="26" spans="2:12" x14ac:dyDescent="0.25">
      <c r="C26" s="4" t="s">
        <v>9</v>
      </c>
      <c r="D26" s="5">
        <f>46184+23309+119238+40738</f>
        <v>229469</v>
      </c>
      <c r="E26" s="5">
        <f>73878+76121+23172+147998</f>
        <v>321169</v>
      </c>
      <c r="F26" s="5">
        <f>61417+109385+19827+135991</f>
        <v>326620</v>
      </c>
      <c r="G26" s="5">
        <f>69725+17567+87174+159721</f>
        <v>334187</v>
      </c>
      <c r="H26" s="5">
        <v>522470</v>
      </c>
      <c r="I26" s="5">
        <v>569332</v>
      </c>
      <c r="J26" s="5">
        <v>688328</v>
      </c>
      <c r="K26" s="5">
        <v>647542</v>
      </c>
      <c r="L26" s="5">
        <v>665458</v>
      </c>
    </row>
    <row r="27" spans="2:12" x14ac:dyDescent="0.25">
      <c r="C27" s="4" t="s">
        <v>10</v>
      </c>
      <c r="D27" s="5">
        <f>23309+118731+37593+53252</f>
        <v>232885</v>
      </c>
      <c r="E27" s="5">
        <f>60987+75679+23172+142674</f>
        <v>302512</v>
      </c>
      <c r="F27" s="5">
        <f>60207+108970+19827+135869</f>
        <v>324873</v>
      </c>
      <c r="G27" s="5">
        <f>48013+86873+17567+166391</f>
        <v>318844</v>
      </c>
      <c r="H27" s="5">
        <v>508900</v>
      </c>
      <c r="I27" s="5">
        <v>549121</v>
      </c>
      <c r="J27" s="5">
        <v>679411</v>
      </c>
      <c r="K27" s="5">
        <v>650970</v>
      </c>
      <c r="L27" s="5">
        <v>667292</v>
      </c>
    </row>
    <row r="28" spans="2:12" x14ac:dyDescent="0.25">
      <c r="C28" s="4" t="s">
        <v>11</v>
      </c>
      <c r="D28" s="5">
        <f>40262+23309+118933+35219</f>
        <v>217723</v>
      </c>
      <c r="E28" s="5">
        <f>45837+75058+23172+149163</f>
        <v>293230</v>
      </c>
      <c r="F28" s="5">
        <f>44266+103905+19827+139862</f>
        <v>307860</v>
      </c>
      <c r="G28" s="5">
        <f>54147+241733+17567+163721</f>
        <v>477168</v>
      </c>
      <c r="H28" s="5">
        <v>558039</v>
      </c>
      <c r="I28" s="5">
        <v>535890</v>
      </c>
      <c r="J28" s="5">
        <v>674114</v>
      </c>
      <c r="K28" s="5">
        <v>650700</v>
      </c>
      <c r="L28" s="5">
        <v>667462</v>
      </c>
    </row>
    <row r="29" spans="2:12" x14ac:dyDescent="0.25">
      <c r="C29" s="4" t="s">
        <v>12</v>
      </c>
      <c r="D29" s="5">
        <f>41330+23309+119238+36610</f>
        <v>220487</v>
      </c>
      <c r="E29" s="5">
        <f>43094+148343+23172+125178</f>
        <v>339787</v>
      </c>
      <c r="F29" s="5">
        <f>44582+103425+19827+143800</f>
        <v>311634</v>
      </c>
      <c r="G29" s="5">
        <f>45373+241733+17567+158852</f>
        <v>463525</v>
      </c>
      <c r="H29" s="5">
        <v>628129</v>
      </c>
      <c r="I29" s="5">
        <v>521545</v>
      </c>
      <c r="J29" s="5">
        <v>672993</v>
      </c>
      <c r="K29" s="5">
        <v>642429</v>
      </c>
      <c r="L29" s="5">
        <v>663055</v>
      </c>
    </row>
    <row r="30" spans="2:12" x14ac:dyDescent="0.25">
      <c r="C30" s="4" t="s">
        <v>13</v>
      </c>
      <c r="D30" s="5">
        <f>23309+120179+37169+42894</f>
        <v>223551</v>
      </c>
      <c r="E30" s="5">
        <f>39464+102470+23172+123129</f>
        <v>288235</v>
      </c>
      <c r="F30" s="5">
        <f>44003+102779+19827+133496</f>
        <v>300105</v>
      </c>
      <c r="G30" s="5">
        <f>45864+242367+17567+156314</f>
        <v>462112</v>
      </c>
      <c r="H30" s="5">
        <v>630839</v>
      </c>
      <c r="I30" s="5">
        <v>497727</v>
      </c>
      <c r="J30" s="5">
        <v>671135</v>
      </c>
      <c r="K30" s="5">
        <v>644693</v>
      </c>
      <c r="L30" s="5">
        <v>653924</v>
      </c>
    </row>
    <row r="31" spans="2:12" x14ac:dyDescent="0.25">
      <c r="C31" s="3" t="s">
        <v>14</v>
      </c>
      <c r="D31" s="4">
        <f>42609+23309+120188+38921</f>
        <v>225027</v>
      </c>
      <c r="E31" s="4">
        <f>47117+110754+23172+114007</f>
        <v>295050</v>
      </c>
      <c r="F31" s="4">
        <f>47444+138779+19827+135494</f>
        <v>341544</v>
      </c>
      <c r="G31" s="4">
        <f>48133+173743+17567+148668</f>
        <v>388111</v>
      </c>
      <c r="H31" s="4">
        <v>690521</v>
      </c>
      <c r="I31" s="4">
        <v>498634</v>
      </c>
      <c r="J31" s="4">
        <v>633537</v>
      </c>
      <c r="K31" s="4">
        <v>650140</v>
      </c>
      <c r="L31" s="4">
        <v>519914</v>
      </c>
    </row>
    <row r="33" spans="2:12" x14ac:dyDescent="0.25">
      <c r="B33" t="s">
        <v>16</v>
      </c>
      <c r="C33" s="1" t="s">
        <v>1</v>
      </c>
      <c r="D33" s="1" t="s">
        <v>2</v>
      </c>
      <c r="E33" s="1"/>
      <c r="F33" s="1"/>
      <c r="G33" s="1"/>
      <c r="H33" s="1"/>
      <c r="I33" s="1"/>
      <c r="J33" s="1"/>
      <c r="K33" s="1"/>
      <c r="L33" s="1"/>
    </row>
    <row r="34" spans="2:12" x14ac:dyDescent="0.25">
      <c r="C34" s="1"/>
      <c r="D34" s="5">
        <v>2014</v>
      </c>
      <c r="E34" s="5">
        <v>2015</v>
      </c>
      <c r="F34" s="5">
        <v>2016</v>
      </c>
      <c r="G34" s="5">
        <v>2017</v>
      </c>
      <c r="H34" s="5">
        <v>2018</v>
      </c>
      <c r="I34" s="5">
        <v>2019</v>
      </c>
      <c r="J34" s="5">
        <v>2020</v>
      </c>
      <c r="K34" s="5">
        <v>2021</v>
      </c>
      <c r="L34" s="5">
        <v>2022</v>
      </c>
    </row>
    <row r="35" spans="2:12" x14ac:dyDescent="0.25">
      <c r="C35" s="4" t="s">
        <v>3</v>
      </c>
      <c r="D35" s="5">
        <f>38518+25180+13338</f>
        <v>77036</v>
      </c>
      <c r="E35" s="5">
        <f>43916+13133+30783</f>
        <v>87832</v>
      </c>
      <c r="F35" s="5">
        <f>46312+31851+14461</f>
        <v>92624</v>
      </c>
      <c r="G35" s="5">
        <f>49658+34421+15237</f>
        <v>99316</v>
      </c>
      <c r="H35" s="5">
        <v>75180</v>
      </c>
      <c r="I35" s="5">
        <v>78856</v>
      </c>
      <c r="J35" s="5">
        <v>81034</v>
      </c>
      <c r="K35" s="5">
        <v>44028</v>
      </c>
      <c r="L35" s="5">
        <v>57880</v>
      </c>
    </row>
    <row r="36" spans="2:12" x14ac:dyDescent="0.25">
      <c r="C36" s="4" t="s">
        <v>4</v>
      </c>
      <c r="D36" s="5">
        <v>153471</v>
      </c>
      <c r="E36" s="5">
        <f>87367+59701+27666</f>
        <v>174734</v>
      </c>
      <c r="F36" s="5">
        <f>91758+62558+29200</f>
        <v>183516</v>
      </c>
      <c r="G36" s="5">
        <f>91314+64704+26610</f>
        <v>182628</v>
      </c>
      <c r="H36" s="5">
        <v>152810</v>
      </c>
      <c r="I36" s="5">
        <v>152544</v>
      </c>
      <c r="J36" s="5">
        <v>169302</v>
      </c>
      <c r="K36" s="5">
        <v>88520</v>
      </c>
      <c r="L36" s="5">
        <v>115570</v>
      </c>
    </row>
    <row r="37" spans="2:12" x14ac:dyDescent="0.25">
      <c r="C37" s="4" t="s">
        <v>5</v>
      </c>
      <c r="D37" s="5">
        <v>226756</v>
      </c>
      <c r="E37" s="5">
        <f>124919+90056+34863</f>
        <v>249838</v>
      </c>
      <c r="F37" s="5">
        <f>141039+96380+44659</f>
        <v>282078</v>
      </c>
      <c r="G37" s="5">
        <f>137021+96498+40523</f>
        <v>274042</v>
      </c>
      <c r="H37" s="5">
        <v>241686</v>
      </c>
      <c r="I37" s="5">
        <v>233233</v>
      </c>
      <c r="J37" s="5">
        <v>248812</v>
      </c>
      <c r="K37" s="5">
        <v>157752</v>
      </c>
      <c r="L37" s="5">
        <v>176580</v>
      </c>
    </row>
    <row r="38" spans="2:12" x14ac:dyDescent="0.25">
      <c r="C38" s="4" t="s">
        <v>6</v>
      </c>
      <c r="D38" s="5">
        <f>153016+101212+51804</f>
        <v>306032</v>
      </c>
      <c r="E38" s="5">
        <f>167675+120645+47030</f>
        <v>335350</v>
      </c>
      <c r="F38" s="5">
        <f>190104+129916+60188</f>
        <v>380208</v>
      </c>
      <c r="G38" s="5">
        <f>179124+126550+52574</f>
        <v>358248</v>
      </c>
      <c r="H38" s="5">
        <v>325474</v>
      </c>
      <c r="I38" s="5">
        <v>304988</v>
      </c>
      <c r="J38" s="5">
        <v>313158</v>
      </c>
      <c r="K38" s="5">
        <v>202354</v>
      </c>
      <c r="L38" s="5">
        <v>237916</v>
      </c>
    </row>
    <row r="39" spans="2:12" x14ac:dyDescent="0.25">
      <c r="C39" s="4" t="s">
        <v>7</v>
      </c>
      <c r="D39" s="5">
        <f>192622+64338+128284</f>
        <v>385244</v>
      </c>
      <c r="E39" s="5">
        <f>206252+147114+59136</f>
        <v>412502</v>
      </c>
      <c r="F39" s="5">
        <f>239049+162120+76929</f>
        <v>478098</v>
      </c>
      <c r="G39" s="5">
        <f>222036+157849+64187</f>
        <v>444072</v>
      </c>
      <c r="H39" s="5">
        <v>414872</v>
      </c>
      <c r="I39" s="5">
        <v>397988</v>
      </c>
      <c r="J39" s="5">
        <v>373364</v>
      </c>
      <c r="K39" s="5">
        <v>263062</v>
      </c>
      <c r="L39" s="5">
        <v>303640</v>
      </c>
    </row>
    <row r="40" spans="2:12" x14ac:dyDescent="0.25">
      <c r="C40" s="4" t="s">
        <v>8</v>
      </c>
      <c r="D40" s="5">
        <f>234882+156371+78511</f>
        <v>469764</v>
      </c>
      <c r="E40" s="5">
        <f>249397+178010+71387</f>
        <v>498794</v>
      </c>
      <c r="F40" s="5">
        <f>284231+193517+90714</f>
        <v>568462</v>
      </c>
      <c r="G40" s="5">
        <f>265165+187908+77257</f>
        <v>530330</v>
      </c>
      <c r="H40" s="5">
        <v>497796</v>
      </c>
      <c r="I40" s="5">
        <v>463174</v>
      </c>
      <c r="J40" s="5">
        <v>418498</v>
      </c>
      <c r="K40" s="5">
        <v>322590</v>
      </c>
      <c r="L40" s="5">
        <v>368020</v>
      </c>
    </row>
    <row r="41" spans="2:12" x14ac:dyDescent="0.25">
      <c r="C41" s="4" t="s">
        <v>9</v>
      </c>
      <c r="D41" s="4">
        <f>274086+182662+91424</f>
        <v>548172</v>
      </c>
      <c r="E41" s="4">
        <f>290537+205033+85504</f>
        <v>581074</v>
      </c>
      <c r="F41" s="4">
        <f>332939+225393+107546</f>
        <v>665878</v>
      </c>
      <c r="G41" s="4">
        <f>314526+221089+93437</f>
        <v>629052</v>
      </c>
      <c r="H41" s="4">
        <v>574104</v>
      </c>
      <c r="I41" s="4">
        <v>535420</v>
      </c>
      <c r="J41" s="4">
        <v>471298</v>
      </c>
      <c r="K41" s="4">
        <v>368098</v>
      </c>
      <c r="L41" s="4">
        <v>439404</v>
      </c>
    </row>
    <row r="42" spans="2:12" x14ac:dyDescent="0.25">
      <c r="C42" s="4" t="s">
        <v>10</v>
      </c>
      <c r="D42" s="4">
        <f>318043+213568+104475</f>
        <v>636086</v>
      </c>
      <c r="E42" s="4">
        <f>332372+233291+99081</f>
        <v>664744</v>
      </c>
      <c r="F42" s="4">
        <f>379827+255412+124415</f>
        <v>759654</v>
      </c>
      <c r="G42" s="4">
        <f>360836+253492+107344</f>
        <v>721672</v>
      </c>
      <c r="H42" s="4">
        <v>667200</v>
      </c>
      <c r="I42" s="4">
        <v>609406</v>
      </c>
      <c r="J42" s="4">
        <v>523428</v>
      </c>
      <c r="K42" s="4">
        <v>426471</v>
      </c>
      <c r="L42" s="4">
        <v>514746</v>
      </c>
    </row>
    <row r="43" spans="2:12" x14ac:dyDescent="0.25">
      <c r="C43" s="4" t="s">
        <v>11</v>
      </c>
      <c r="D43" s="4">
        <f>316711+245299+117643</f>
        <v>679653</v>
      </c>
      <c r="E43" s="4">
        <f>373583+260578+113005</f>
        <v>747166</v>
      </c>
      <c r="F43" s="4">
        <f>426413+285627+140786</f>
        <v>852826</v>
      </c>
      <c r="G43" s="4">
        <f>408381+285401+122980</f>
        <v>816762</v>
      </c>
      <c r="H43" s="4">
        <v>743798</v>
      </c>
      <c r="I43" s="4">
        <v>681848</v>
      </c>
      <c r="J43" s="4">
        <v>567696</v>
      </c>
      <c r="K43" s="4">
        <v>497810</v>
      </c>
      <c r="L43" s="4">
        <v>586436</v>
      </c>
    </row>
    <row r="44" spans="2:12" x14ac:dyDescent="0.25">
      <c r="C44" s="4" t="s">
        <v>12</v>
      </c>
      <c r="D44" s="4">
        <f>407066+274293+132773</f>
        <v>814132</v>
      </c>
      <c r="E44" s="4">
        <f>417175+36458</f>
        <v>453633</v>
      </c>
      <c r="F44" s="4">
        <f>476861+317890+158971</f>
        <v>953722</v>
      </c>
      <c r="G44" s="4">
        <f>451756+317329+134427</f>
        <v>903512</v>
      </c>
      <c r="H44" s="4">
        <v>821494</v>
      </c>
      <c r="I44" s="4">
        <v>763884</v>
      </c>
      <c r="J44" s="4">
        <v>617648</v>
      </c>
      <c r="K44" s="4">
        <v>547580</v>
      </c>
      <c r="L44" s="4">
        <v>666380</v>
      </c>
    </row>
    <row r="45" spans="2:12" x14ac:dyDescent="0.25">
      <c r="C45" s="4" t="s">
        <v>13</v>
      </c>
      <c r="D45" s="4">
        <f>451496+304840+146656</f>
        <v>902992</v>
      </c>
      <c r="E45" s="4">
        <f>459055+317330+141725</f>
        <v>918110</v>
      </c>
      <c r="F45" s="4">
        <f>528408+347298+181110</f>
        <v>1056816</v>
      </c>
      <c r="G45" s="4">
        <f>493933+345180+148753</f>
        <v>987866</v>
      </c>
      <c r="H45" s="4">
        <v>899206</v>
      </c>
      <c r="I45" s="4">
        <v>846104</v>
      </c>
      <c r="J45" s="4">
        <v>669946</v>
      </c>
      <c r="K45" s="4">
        <v>593342</v>
      </c>
      <c r="L45" s="4">
        <v>739760</v>
      </c>
    </row>
    <row r="46" spans="2:12" x14ac:dyDescent="0.25">
      <c r="C46" s="3" t="s">
        <v>14</v>
      </c>
      <c r="D46" s="4">
        <f>495838+335049+160789</f>
        <v>991676</v>
      </c>
      <c r="E46" s="4">
        <f>502812+346778+156034</f>
        <v>1005624</v>
      </c>
      <c r="F46" s="4">
        <f>575162+377428+197734</f>
        <v>1150324</v>
      </c>
      <c r="G46" s="4">
        <f>531819+372309+159510</f>
        <v>1063638</v>
      </c>
      <c r="H46" s="4">
        <v>982276</v>
      </c>
      <c r="I46" s="4">
        <v>950472</v>
      </c>
      <c r="J46" s="4">
        <v>720146</v>
      </c>
      <c r="K46" s="4">
        <v>645050</v>
      </c>
      <c r="L46" s="4">
        <v>814294</v>
      </c>
    </row>
  </sheetData>
  <mergeCells count="6">
    <mergeCell ref="C3:C4"/>
    <mergeCell ref="D3:L3"/>
    <mergeCell ref="C18:C19"/>
    <mergeCell ref="D18:L18"/>
    <mergeCell ref="C33:C34"/>
    <mergeCell ref="D33:L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E3123-C021-468C-99B7-C89307E6A6B7}">
  <dimension ref="B3:K6"/>
  <sheetViews>
    <sheetView tabSelected="1" workbookViewId="0">
      <selection activeCell="C10" sqref="C10"/>
    </sheetView>
  </sheetViews>
  <sheetFormatPr defaultRowHeight="15" x14ac:dyDescent="0.25"/>
  <cols>
    <col min="2" max="2" width="18.140625" customWidth="1"/>
  </cols>
  <sheetData>
    <row r="3" spans="2:11" x14ac:dyDescent="0.25">
      <c r="B3" s="5"/>
      <c r="C3" s="5">
        <v>2014</v>
      </c>
      <c r="D3" s="4">
        <v>2015</v>
      </c>
      <c r="E3" s="5">
        <v>2016</v>
      </c>
      <c r="F3" s="5">
        <v>2017</v>
      </c>
      <c r="G3" s="5">
        <v>2018</v>
      </c>
      <c r="H3" s="5">
        <v>2019</v>
      </c>
      <c r="I3" s="5">
        <v>2020</v>
      </c>
      <c r="J3" s="5">
        <v>2021</v>
      </c>
      <c r="K3" s="5">
        <v>2022</v>
      </c>
    </row>
    <row r="4" spans="2:11" x14ac:dyDescent="0.25">
      <c r="B4" s="5" t="s">
        <v>0</v>
      </c>
      <c r="C4" s="5">
        <v>4724077</v>
      </c>
      <c r="D4" s="4">
        <v>5381832</v>
      </c>
      <c r="E4" s="5">
        <v>6454387</v>
      </c>
      <c r="F4" s="5">
        <v>6542558</v>
      </c>
      <c r="G4" s="5">
        <v>5086631</v>
      </c>
      <c r="H4" s="4">
        <v>4522777</v>
      </c>
      <c r="I4" s="4">
        <v>3464766</v>
      </c>
      <c r="J4" s="4">
        <v>5031362</v>
      </c>
      <c r="K4" s="4">
        <v>5805817</v>
      </c>
    </row>
    <row r="5" spans="2:11" x14ac:dyDescent="0.25">
      <c r="B5" s="5" t="s">
        <v>17</v>
      </c>
      <c r="C5" s="5">
        <f>80808+23172+180515</f>
        <v>284495</v>
      </c>
      <c r="D5" s="4">
        <v>522996</v>
      </c>
      <c r="E5" s="4">
        <v>565213</v>
      </c>
      <c r="F5" s="4">
        <v>2508993</v>
      </c>
      <c r="G5" s="4">
        <v>3864608</v>
      </c>
      <c r="H5">
        <v>2998092</v>
      </c>
      <c r="I5">
        <v>3093493</v>
      </c>
      <c r="J5">
        <v>3131537</v>
      </c>
      <c r="K5">
        <v>2858081</v>
      </c>
    </row>
    <row r="6" spans="2:11" x14ac:dyDescent="0.25">
      <c r="B6" s="4" t="s">
        <v>18</v>
      </c>
      <c r="C6" s="4">
        <v>4605961</v>
      </c>
      <c r="D6" s="4">
        <f>264287+206803+20379+10009</f>
        <v>501478</v>
      </c>
      <c r="E6" s="4">
        <f>242418+292658+27249+10622</f>
        <v>572947</v>
      </c>
      <c r="F6" s="4">
        <v>2670080</v>
      </c>
      <c r="G6" s="4">
        <v>2240790</v>
      </c>
      <c r="H6" s="4">
        <v>2014539</v>
      </c>
      <c r="I6" s="4">
        <v>552056</v>
      </c>
      <c r="J6" s="4">
        <v>829517</v>
      </c>
      <c r="K6" s="4">
        <v>1049503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bulanan</vt:lpstr>
      <vt:lpstr>tabulasi grafik tahunan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EASY BOY</dc:creator>
  <cp:lastModifiedBy>EASY BOY</cp:lastModifiedBy>
  <dcterms:created xsi:type="dcterms:W3CDTF">2024-02-21T07:30:50Z</dcterms:created>
  <dcterms:modified xsi:type="dcterms:W3CDTF">2024-02-21T07:35:13Z</dcterms:modified>
</cp:coreProperties>
</file>